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766"/>
  <workbookPr/>
  <mc:AlternateContent xmlns:mc="http://schemas.openxmlformats.org/markup-compatibility/2006">
    <mc:Choice Requires="x15">
      <x15ac:absPath xmlns:x15ac="http://schemas.microsoft.com/office/spreadsheetml/2010/11/ac" url="C:\Users\billbony\Documents\Resolute\Customers\Federal - State\DoE\2013 FOA\Controls\Closeout\Upload Documents\"/>
    </mc:Choice>
  </mc:AlternateContent>
  <bookViews>
    <workbookView xWindow="0" yWindow="0" windowWidth="24000" windowHeight="8916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1" i="1" l="1"/>
  <c r="K49" i="1"/>
  <c r="K57" i="1"/>
  <c r="K89" i="1"/>
  <c r="D6" i="1"/>
  <c r="D7" i="1"/>
  <c r="D8" i="1"/>
  <c r="D9" i="1"/>
  <c r="D14" i="1"/>
  <c r="D15" i="1"/>
  <c r="D16" i="1"/>
  <c r="D17" i="1"/>
  <c r="D18" i="1"/>
  <c r="D19" i="1"/>
  <c r="D20" i="1"/>
  <c r="J68" i="1"/>
  <c r="D64" i="1"/>
  <c r="D68" i="1"/>
  <c r="C73" i="1"/>
  <c r="D73" i="1"/>
  <c r="D41" i="1"/>
  <c r="D81" i="1"/>
  <c r="C64" i="1"/>
  <c r="C68" i="1"/>
  <c r="K68" i="1"/>
  <c r="K73" i="1"/>
  <c r="K81" i="1"/>
  <c r="D87" i="1"/>
  <c r="E64" i="1"/>
  <c r="E68" i="1"/>
  <c r="E73" i="1"/>
  <c r="E41" i="1"/>
  <c r="E81" i="1"/>
  <c r="E87" i="1"/>
  <c r="F64" i="1"/>
  <c r="F68" i="1"/>
  <c r="F73" i="1"/>
  <c r="F41" i="1"/>
  <c r="F81" i="1"/>
  <c r="F87" i="1"/>
  <c r="G64" i="1"/>
  <c r="G68" i="1"/>
  <c r="G73" i="1"/>
  <c r="G41" i="1"/>
  <c r="G81" i="1"/>
  <c r="G87" i="1"/>
  <c r="H64" i="1"/>
  <c r="H68" i="1"/>
  <c r="H73" i="1"/>
  <c r="H41" i="1"/>
  <c r="H81" i="1"/>
  <c r="H87" i="1"/>
  <c r="I64" i="1"/>
  <c r="I68" i="1"/>
  <c r="I73" i="1"/>
  <c r="I41" i="1"/>
  <c r="I81" i="1"/>
  <c r="I87" i="1"/>
  <c r="J73" i="1"/>
  <c r="J41" i="1"/>
  <c r="J81" i="1"/>
  <c r="J87" i="1"/>
  <c r="K87" i="1"/>
  <c r="C41" i="1"/>
  <c r="C81" i="1"/>
  <c r="C87" i="1"/>
  <c r="D10" i="1"/>
  <c r="D11" i="1"/>
  <c r="D12" i="1"/>
  <c r="D13" i="1"/>
  <c r="D21" i="1"/>
  <c r="J66" i="1"/>
  <c r="C66" i="1"/>
  <c r="K66" i="1"/>
  <c r="K39" i="1"/>
  <c r="K79" i="1"/>
  <c r="J67" i="1"/>
  <c r="C67" i="1"/>
  <c r="K67" i="1"/>
  <c r="K40" i="1"/>
  <c r="K80" i="1"/>
  <c r="J69" i="1"/>
  <c r="C69" i="1"/>
  <c r="K69" i="1"/>
  <c r="K42" i="1"/>
  <c r="K82" i="1"/>
  <c r="J70" i="1"/>
  <c r="C70" i="1"/>
  <c r="K70" i="1"/>
  <c r="K43" i="1"/>
  <c r="K83" i="1"/>
  <c r="J71" i="1"/>
  <c r="C71" i="1"/>
  <c r="K71" i="1"/>
  <c r="K44" i="1"/>
  <c r="K84" i="1"/>
  <c r="K64" i="1"/>
  <c r="K63" i="1"/>
  <c r="K47" i="1"/>
  <c r="K48" i="1"/>
  <c r="K50" i="1"/>
  <c r="K51" i="1"/>
  <c r="K52" i="1"/>
  <c r="K55" i="1"/>
  <c r="K56" i="1"/>
  <c r="K58" i="1"/>
  <c r="K59" i="1"/>
  <c r="K60" i="1"/>
  <c r="J64" i="1"/>
  <c r="D66" i="1"/>
  <c r="E66" i="1"/>
  <c r="F66" i="1"/>
  <c r="G66" i="1"/>
  <c r="H66" i="1"/>
  <c r="I66" i="1"/>
  <c r="D67" i="1"/>
  <c r="E67" i="1"/>
  <c r="F67" i="1"/>
  <c r="G67" i="1"/>
  <c r="H67" i="1"/>
  <c r="I67" i="1"/>
  <c r="D69" i="1"/>
  <c r="E69" i="1"/>
  <c r="F69" i="1"/>
  <c r="G69" i="1"/>
  <c r="H69" i="1"/>
  <c r="I69" i="1"/>
  <c r="D70" i="1"/>
  <c r="E70" i="1"/>
  <c r="F70" i="1"/>
  <c r="G70" i="1"/>
  <c r="H70" i="1"/>
  <c r="I70" i="1"/>
  <c r="D71" i="1"/>
  <c r="E71" i="1"/>
  <c r="F71" i="1"/>
  <c r="G71" i="1"/>
  <c r="H71" i="1"/>
  <c r="I71" i="1"/>
  <c r="D39" i="1"/>
  <c r="D79" i="1"/>
  <c r="E39" i="1"/>
  <c r="E79" i="1"/>
  <c r="F39" i="1"/>
  <c r="F79" i="1"/>
  <c r="G39" i="1"/>
  <c r="G79" i="1"/>
  <c r="H39" i="1"/>
  <c r="H79" i="1"/>
  <c r="I39" i="1"/>
  <c r="I79" i="1"/>
  <c r="J39" i="1"/>
  <c r="J79" i="1"/>
  <c r="D40" i="1"/>
  <c r="D80" i="1"/>
  <c r="E40" i="1"/>
  <c r="E80" i="1"/>
  <c r="F40" i="1"/>
  <c r="F80" i="1"/>
  <c r="G40" i="1"/>
  <c r="G80" i="1"/>
  <c r="H40" i="1"/>
  <c r="H80" i="1"/>
  <c r="I40" i="1"/>
  <c r="I80" i="1"/>
  <c r="J40" i="1"/>
  <c r="J80" i="1"/>
  <c r="D42" i="1"/>
  <c r="D82" i="1"/>
  <c r="E42" i="1"/>
  <c r="E82" i="1"/>
  <c r="F42" i="1"/>
  <c r="F82" i="1"/>
  <c r="G42" i="1"/>
  <c r="G82" i="1"/>
  <c r="H42" i="1"/>
  <c r="H82" i="1"/>
  <c r="I42" i="1"/>
  <c r="I82" i="1"/>
  <c r="J42" i="1"/>
  <c r="J82" i="1"/>
  <c r="D43" i="1"/>
  <c r="D83" i="1"/>
  <c r="E43" i="1"/>
  <c r="E83" i="1"/>
  <c r="F43" i="1"/>
  <c r="F83" i="1"/>
  <c r="G43" i="1"/>
  <c r="G83" i="1"/>
  <c r="H43" i="1"/>
  <c r="H83" i="1"/>
  <c r="I43" i="1"/>
  <c r="I83" i="1"/>
  <c r="J43" i="1"/>
  <c r="J83" i="1"/>
  <c r="D44" i="1"/>
  <c r="D84" i="1"/>
  <c r="E44" i="1"/>
  <c r="E84" i="1"/>
  <c r="F44" i="1"/>
  <c r="F84" i="1"/>
  <c r="G44" i="1"/>
  <c r="G84" i="1"/>
  <c r="H44" i="1"/>
  <c r="H84" i="1"/>
  <c r="I44" i="1"/>
  <c r="I84" i="1"/>
  <c r="J44" i="1"/>
  <c r="J84" i="1"/>
  <c r="C40" i="1"/>
  <c r="C80" i="1"/>
  <c r="C42" i="1"/>
  <c r="C82" i="1"/>
  <c r="C43" i="1"/>
  <c r="C83" i="1"/>
  <c r="C44" i="1"/>
  <c r="C84" i="1"/>
  <c r="C39" i="1"/>
  <c r="C79" i="1"/>
  <c r="E50" i="1"/>
  <c r="E58" i="1"/>
  <c r="E89" i="1"/>
  <c r="F50" i="1"/>
  <c r="F58" i="1"/>
  <c r="F89" i="1"/>
  <c r="G50" i="1"/>
  <c r="G58" i="1"/>
  <c r="G89" i="1"/>
  <c r="H50" i="1"/>
  <c r="H58" i="1"/>
  <c r="H89" i="1"/>
  <c r="I50" i="1"/>
  <c r="I58" i="1"/>
  <c r="I89" i="1"/>
  <c r="J50" i="1"/>
  <c r="J58" i="1"/>
  <c r="J89" i="1"/>
  <c r="D50" i="1"/>
  <c r="D58" i="1"/>
  <c r="D89" i="1"/>
  <c r="C49" i="1"/>
  <c r="C57" i="1"/>
  <c r="C89" i="1"/>
  <c r="F20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1" i="1"/>
  <c r="G20" i="1"/>
  <c r="C21" i="1"/>
  <c r="D47" i="1"/>
  <c r="D55" i="1"/>
  <c r="E47" i="1"/>
  <c r="E55" i="1"/>
  <c r="F47" i="1"/>
  <c r="F55" i="1"/>
  <c r="G47" i="1"/>
  <c r="G55" i="1"/>
  <c r="H47" i="1"/>
  <c r="H55" i="1"/>
  <c r="I47" i="1"/>
  <c r="I55" i="1"/>
  <c r="J47" i="1"/>
  <c r="J55" i="1"/>
  <c r="D48" i="1"/>
  <c r="D56" i="1"/>
  <c r="E48" i="1"/>
  <c r="E56" i="1"/>
  <c r="F48" i="1"/>
  <c r="F56" i="1"/>
  <c r="G48" i="1"/>
  <c r="G56" i="1"/>
  <c r="H48" i="1"/>
  <c r="H56" i="1"/>
  <c r="I48" i="1"/>
  <c r="I56" i="1"/>
  <c r="J48" i="1"/>
  <c r="J56" i="1"/>
  <c r="D49" i="1"/>
  <c r="D57" i="1"/>
  <c r="E49" i="1"/>
  <c r="E57" i="1"/>
  <c r="F49" i="1"/>
  <c r="F57" i="1"/>
  <c r="G49" i="1"/>
  <c r="G57" i="1"/>
  <c r="H49" i="1"/>
  <c r="H57" i="1"/>
  <c r="I49" i="1"/>
  <c r="I57" i="1"/>
  <c r="J49" i="1"/>
  <c r="J57" i="1"/>
  <c r="D51" i="1"/>
  <c r="D59" i="1"/>
  <c r="E51" i="1"/>
  <c r="E59" i="1"/>
  <c r="F51" i="1"/>
  <c r="F59" i="1"/>
  <c r="G51" i="1"/>
  <c r="G59" i="1"/>
  <c r="H51" i="1"/>
  <c r="H59" i="1"/>
  <c r="I51" i="1"/>
  <c r="I59" i="1"/>
  <c r="J51" i="1"/>
  <c r="J59" i="1"/>
  <c r="D52" i="1"/>
  <c r="D60" i="1"/>
  <c r="E52" i="1"/>
  <c r="E60" i="1"/>
  <c r="F52" i="1"/>
  <c r="F60" i="1"/>
  <c r="G52" i="1"/>
  <c r="G60" i="1"/>
  <c r="H52" i="1"/>
  <c r="H60" i="1"/>
  <c r="I52" i="1"/>
  <c r="I60" i="1"/>
  <c r="J52" i="1"/>
  <c r="J60" i="1"/>
  <c r="C48" i="1"/>
  <c r="C56" i="1"/>
  <c r="C50" i="1"/>
  <c r="C58" i="1"/>
  <c r="C51" i="1"/>
  <c r="C59" i="1"/>
  <c r="C52" i="1"/>
  <c r="C60" i="1"/>
  <c r="C47" i="1"/>
  <c r="C55" i="1"/>
  <c r="F27" i="1"/>
  <c r="F28" i="1"/>
  <c r="F29" i="1"/>
  <c r="F30" i="1"/>
  <c r="F31" i="1"/>
  <c r="F26" i="1"/>
  <c r="E27" i="1"/>
  <c r="E28" i="1"/>
  <c r="E29" i="1"/>
  <c r="E30" i="1"/>
  <c r="E31" i="1"/>
  <c r="E2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1" i="1"/>
  <c r="G6" i="1"/>
</calcChain>
</file>

<file path=xl/sharedStrings.xml><?xml version="1.0" encoding="utf-8"?>
<sst xmlns="http://schemas.openxmlformats.org/spreadsheetml/2006/main" count="91" uniqueCount="55">
  <si>
    <t>$/kW</t>
  </si>
  <si>
    <t>SA - Primary Energy Capture</t>
  </si>
  <si>
    <t>SA - Add. Struct. Components</t>
  </si>
  <si>
    <t xml:space="preserve">SA - Marine Systems </t>
  </si>
  <si>
    <t>SA - SCADA</t>
  </si>
  <si>
    <t>PCC - Structural Assembly</t>
  </si>
  <si>
    <t>PCC - Drivetrain (i.e., Prime Mover)</t>
  </si>
  <si>
    <t>PCC - Hydraulic System</t>
  </si>
  <si>
    <t>PCC - Power Electrical System</t>
  </si>
  <si>
    <t>Development</t>
  </si>
  <si>
    <t>Engineering and Management</t>
  </si>
  <si>
    <t>Plant Commissioning</t>
  </si>
  <si>
    <t>Assembly &amp; Installation</t>
  </si>
  <si>
    <t>Other Infrastructure</t>
  </si>
  <si>
    <t>Substructure &amp; Foundation</t>
  </si>
  <si>
    <t>Financial Costs</t>
  </si>
  <si>
    <t>Total</t>
  </si>
  <si>
    <t>$/Device</t>
  </si>
  <si>
    <t>kW</t>
  </si>
  <si>
    <t>Baseline Rated Power</t>
  </si>
  <si>
    <t>P rated</t>
  </si>
  <si>
    <t>AEP</t>
  </si>
  <si>
    <t>MWh/year</t>
  </si>
  <si>
    <t>Baseline Cost for PTO Option 8</t>
  </si>
  <si>
    <t>Performance vs. Rated Capacity (Computed using detailed LCoE spreadsheet for Baseline)</t>
  </si>
  <si>
    <t>Performance Multipliers for Options 1-8</t>
  </si>
  <si>
    <t>Option #</t>
  </si>
  <si>
    <t>Performance Multiplier</t>
  </si>
  <si>
    <t>Scaling</t>
  </si>
  <si>
    <t>$/Plant</t>
  </si>
  <si>
    <t>% of Total Cost</t>
  </si>
  <si>
    <t xml:space="preserve">$/Device </t>
  </si>
  <si>
    <t>% of Total</t>
  </si>
  <si>
    <t>Capacity Factor</t>
  </si>
  <si>
    <t>Prated (kW)</t>
  </si>
  <si>
    <t>AEP (MWh/year)</t>
  </si>
  <si>
    <t>Capacity Factor (%)</t>
  </si>
  <si>
    <t>Paverage (kW)</t>
  </si>
  <si>
    <t xml:space="preserve">Total Cost vs. Rated Capacity </t>
  </si>
  <si>
    <t>P rated (kW)</t>
  </si>
  <si>
    <t>Ann O&amp;M Cost (fixed per device)</t>
  </si>
  <si>
    <t>LCoE Computation</t>
  </si>
  <si>
    <t>FCR</t>
  </si>
  <si>
    <t>Controls Option</t>
  </si>
  <si>
    <t>Percentage LCoE Reduction</t>
  </si>
  <si>
    <t>Construction Financing</t>
  </si>
  <si>
    <t>LCoE Optimized Rated Power</t>
  </si>
  <si>
    <t>LCoE Optimized Capacity Factor</t>
  </si>
  <si>
    <t>LCoE ($/MWh)</t>
  </si>
  <si>
    <t>Cost Difference dependending on config - 1-Unit</t>
  </si>
  <si>
    <t>Cost Difference dependending on config - 2400-Units</t>
  </si>
  <si>
    <t>Baseline</t>
  </si>
  <si>
    <t>Cost Basis/Device</t>
  </si>
  <si>
    <t>Vendor Quotes + RME estimates</t>
  </si>
  <si>
    <t>RME estimates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</si>
</sst>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??_-;_-@_-"/>
    <numFmt numFmtId="165" formatCode="_(* #,##0_);_(* \(#,##0\);_(* &quot;-&quot;??_);_(@_)"/>
    <numFmt numFmtId="166" formatCode="0.0"/>
    <numFmt numFmtId="167" formatCode="0.000"/>
    <numFmt numFmtId="168" formatCode="_(&quot;$&quot;* #,##0_);_(&quot;$&quot;* \(#,##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entury Gothic"/>
      <family val="2"/>
    </font>
    <font>
      <b/>
      <sz val="10"/>
      <name val="Century Gothic"/>
      <family val="2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3">
    <xf numFmtId="0" fontId="0" fillId="0" borderId="0" xfId="0"/>
    <xf numFmtId="0" fontId="3" fillId="0" borderId="0" xfId="0" applyFont="1"/>
    <xf numFmtId="0" fontId="2" fillId="0" borderId="0" xfId="0" applyFont="1"/>
    <xf numFmtId="43" fontId="0" fillId="0" borderId="0" xfId="0" applyNumberFormat="1"/>
    <xf numFmtId="165" fontId="0" fillId="0" borderId="0" xfId="0" applyNumberFormat="1"/>
    <xf numFmtId="0" fontId="4" fillId="0" borderId="0" xfId="0" applyFont="1" applyFill="1" applyBorder="1" applyAlignment="1">
      <alignment horizontal="right"/>
    </xf>
    <xf numFmtId="9" fontId="0" fillId="0" borderId="0" xfId="3" applyFont="1"/>
    <xf numFmtId="9" fontId="2" fillId="0" borderId="0" xfId="3" applyFont="1"/>
    <xf numFmtId="9" fontId="1" fillId="0" borderId="0" xfId="3" applyFont="1"/>
    <xf numFmtId="166" fontId="0" fillId="0" borderId="0" xfId="0" applyNumberFormat="1"/>
    <xf numFmtId="1" fontId="0" fillId="0" borderId="0" xfId="0" applyNumberFormat="1"/>
    <xf numFmtId="167" fontId="0" fillId="0" borderId="0" xfId="0" applyNumberFormat="1"/>
    <xf numFmtId="0" fontId="0" fillId="0" borderId="0" xfId="0" applyAlignment="1">
      <alignment horizontal="right"/>
    </xf>
    <xf numFmtId="168" fontId="0" fillId="0" borderId="0" xfId="2" applyNumberFormat="1" applyFont="1"/>
    <xf numFmtId="9" fontId="0" fillId="0" borderId="0" xfId="0" applyNumberFormat="1"/>
    <xf numFmtId="168" fontId="0" fillId="0" borderId="0" xfId="0" applyNumberFormat="1"/>
    <xf numFmtId="164" fontId="0" fillId="0" borderId="2" xfId="1" applyNumberFormat="1" applyFont="1" applyBorder="1"/>
    <xf numFmtId="164" fontId="0" fillId="0" borderId="3" xfId="1" applyNumberFormat="1" applyFont="1" applyBorder="1"/>
    <xf numFmtId="0" fontId="0" fillId="0" borderId="2" xfId="0" applyBorder="1"/>
    <xf numFmtId="0" fontId="0" fillId="0" borderId="3" xfId="0" applyBorder="1"/>
    <xf numFmtId="9" fontId="0" fillId="0" borderId="2" xfId="3" applyFont="1" applyBorder="1"/>
    <xf numFmtId="9" fontId="0" fillId="0" borderId="3" xfId="3" applyFont="1" applyBorder="1"/>
    <xf numFmtId="9" fontId="0" fillId="0" borderId="3" xfId="3" applyNumberFormat="1" applyFont="1" applyBorder="1"/>
    <xf numFmtId="165" fontId="2" fillId="0" borderId="4" xfId="0" applyNumberFormat="1" applyFont="1" applyBorder="1"/>
    <xf numFmtId="164" fontId="2" fillId="0" borderId="1" xfId="0" applyNumberFormat="1" applyFont="1" applyBorder="1"/>
    <xf numFmtId="0" fontId="2" fillId="0" borderId="1" xfId="0" applyFont="1" applyBorder="1"/>
    <xf numFmtId="9" fontId="2" fillId="0" borderId="1" xfId="3" applyFont="1" applyBorder="1"/>
    <xf numFmtId="0" fontId="2" fillId="2" borderId="5" xfId="0" applyFont="1" applyFill="1" applyBorder="1" applyAlignment="1">
      <alignment horizontal="right"/>
    </xf>
    <xf numFmtId="0" fontId="2" fillId="2" borderId="1" xfId="0" applyFont="1" applyFill="1" applyBorder="1"/>
    <xf numFmtId="0" fontId="2" fillId="2" borderId="4" xfId="0" applyFont="1" applyFill="1" applyBorder="1"/>
    <xf numFmtId="0" fontId="5" fillId="2" borderId="5" xfId="0" applyFont="1" applyFill="1" applyBorder="1" applyAlignment="1">
      <alignment horizontal="right"/>
    </xf>
    <xf numFmtId="0" fontId="5" fillId="2" borderId="4" xfId="0" applyFont="1" applyFill="1" applyBorder="1" applyAlignment="1">
      <alignment horizontal="right"/>
    </xf>
    <xf numFmtId="0" fontId="5" fillId="2" borderId="6" xfId="0" applyFont="1" applyFill="1" applyBorder="1" applyAlignment="1">
      <alignment horizontal="right"/>
    </xf>
    <xf numFmtId="0" fontId="2" fillId="0" borderId="0" xfId="0" applyFont="1" applyAlignment="1">
      <alignment horizontal="right"/>
    </xf>
    <xf numFmtId="0" fontId="6" fillId="0" borderId="0" xfId="0" applyFont="1"/>
    <xf numFmtId="0" fontId="2" fillId="2" borderId="6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7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strRef>
              <c:f>Sheet1!$C$25</c:f>
              <c:strCache>
                <c:ptCount val="1"/>
                <c:pt idx="0">
                  <c:v>AEP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ly"/>
            <c:order val="2"/>
            <c:dispRSqr val="1"/>
            <c:dispEq val="1"/>
            <c:trendlineLbl>
              <c:layout>
                <c:manualLayout>
                  <c:x val="-3.0256561679790028E-2"/>
                  <c:y val="-4.8448527267424907E-2"/>
                </c:manualLayout>
              </c:layout>
              <c:numFmt formatCode="General" sourceLinked="0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Sheet1!$B$26:$B$31</c:f>
              <c:numCache>
                <c:formatCode>General</c:formatCode>
                <c:ptCount val="6"/>
                <c:pt idx="0">
                  <c:v>50</c:v>
                </c:pt>
                <c:pt idx="1">
                  <c:v>60</c:v>
                </c:pt>
                <c:pt idx="2">
                  <c:v>70</c:v>
                </c:pt>
                <c:pt idx="3">
                  <c:v>80</c:v>
                </c:pt>
                <c:pt idx="4">
                  <c:v>90</c:v>
                </c:pt>
                <c:pt idx="5">
                  <c:v>100</c:v>
                </c:pt>
              </c:numCache>
            </c:numRef>
          </c:xVal>
          <c:yVal>
            <c:numRef>
              <c:f>Sheet1!$C$26:$C$31</c:f>
              <c:numCache>
                <c:formatCode>General</c:formatCode>
                <c:ptCount val="6"/>
                <c:pt idx="0">
                  <c:v>115</c:v>
                </c:pt>
                <c:pt idx="1">
                  <c:v>128</c:v>
                </c:pt>
                <c:pt idx="2">
                  <c:v>139</c:v>
                </c:pt>
                <c:pt idx="3">
                  <c:v>145</c:v>
                </c:pt>
                <c:pt idx="4">
                  <c:v>149</c:v>
                </c:pt>
                <c:pt idx="5">
                  <c:v>151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1344-4981-865A-4D7E3019E6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4411784"/>
        <c:axId val="404414920"/>
      </c:scatterChart>
      <c:valAx>
        <c:axId val="4044117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PTO Rated Power (kW)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4414920"/>
        <c:crosses val="autoZero"/>
        <c:crossBetween val="midCat"/>
      </c:valAx>
      <c:valAx>
        <c:axId val="404414920"/>
        <c:scaling>
          <c:orientation val="minMax"/>
          <c:min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Annual</a:t>
                </a:r>
                <a:r>
                  <a:rPr lang="en-US" baseline="0"/>
                  <a:t> Energy Production (MWh/yr)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441178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365125</xdr:colOff>
      <xdr:row>15</xdr:row>
      <xdr:rowOff>152400</xdr:rowOff>
    </xdr:from>
    <xdr:to>
      <xdr:col>17</xdr:col>
      <xdr:colOff>473075</xdr:colOff>
      <xdr:row>30</xdr:row>
      <xdr:rowOff>133350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89"/>
  <sheetViews>
    <sheetView tabSelected="1" zoomScale="80" zoomScaleNormal="80" workbookViewId="0">
      <selection activeCell="F93" sqref="F93"/>
    </sheetView>
  </sheetViews>
  <sheetFormatPr defaultRowHeight="14.4" x14ac:dyDescent="0.3"/>
  <cols>
    <col min="1" max="1" width="3.109375" customWidth="1"/>
    <col min="2" max="2" width="44.88671875" bestFit="1" customWidth="1"/>
    <col min="3" max="3" width="13.88671875" bestFit="1" customWidth="1"/>
    <col min="4" max="4" width="11.6640625" bestFit="1" customWidth="1"/>
    <col min="5" max="5" width="17.5546875" bestFit="1" customWidth="1"/>
    <col min="6" max="6" width="15.44140625" customWidth="1"/>
    <col min="7" max="7" width="11.6640625" bestFit="1" customWidth="1"/>
    <col min="8" max="8" width="16.44140625" customWidth="1"/>
    <col min="9" max="9" width="13.21875" customWidth="1"/>
    <col min="10" max="10" width="12" bestFit="1" customWidth="1"/>
    <col min="11" max="11" width="11.6640625" bestFit="1" customWidth="1"/>
  </cols>
  <sheetData>
    <row r="2" spans="1:9" ht="15.6" x14ac:dyDescent="0.3">
      <c r="A2" s="34" t="s">
        <v>19</v>
      </c>
      <c r="C2" s="34">
        <v>50</v>
      </c>
      <c r="D2" s="34" t="s">
        <v>18</v>
      </c>
    </row>
    <row r="4" spans="1:9" x14ac:dyDescent="0.3">
      <c r="A4" s="2" t="s">
        <v>23</v>
      </c>
    </row>
    <row r="5" spans="1:9" x14ac:dyDescent="0.3">
      <c r="C5" s="27" t="s">
        <v>0</v>
      </c>
      <c r="D5" s="28" t="s">
        <v>17</v>
      </c>
      <c r="E5" s="28" t="s">
        <v>28</v>
      </c>
      <c r="F5" s="29" t="s">
        <v>29</v>
      </c>
      <c r="G5" s="28" t="s">
        <v>32</v>
      </c>
      <c r="H5" s="36" t="s">
        <v>52</v>
      </c>
      <c r="I5" s="35"/>
    </row>
    <row r="6" spans="1:9" x14ac:dyDescent="0.3">
      <c r="B6" t="s">
        <v>1</v>
      </c>
      <c r="C6" s="16">
        <v>1179.9191908355451</v>
      </c>
      <c r="D6" s="4">
        <f>C6*$C$2</f>
        <v>58995.959541777258</v>
      </c>
      <c r="E6" s="18" t="s">
        <v>17</v>
      </c>
      <c r="F6" s="4">
        <f>D6*2400</f>
        <v>141590302.90026543</v>
      </c>
      <c r="G6" s="20">
        <f>F6/$F$21</f>
        <v>0.11407510926779307</v>
      </c>
      <c r="H6" s="37" t="s">
        <v>53</v>
      </c>
      <c r="I6" s="38"/>
    </row>
    <row r="7" spans="1:9" x14ac:dyDescent="0.3">
      <c r="B7" t="s">
        <v>2</v>
      </c>
      <c r="C7" s="17">
        <v>429.14802827970226</v>
      </c>
      <c r="D7" s="4">
        <f t="shared" ref="D7:D20" si="0">C7*$C$2</f>
        <v>21457.401413985113</v>
      </c>
      <c r="E7" s="19" t="s">
        <v>17</v>
      </c>
      <c r="F7" s="4">
        <f t="shared" ref="F7:F19" si="1">D7*2400</f>
        <v>51497763.393564269</v>
      </c>
      <c r="G7" s="21">
        <f t="shared" ref="G7:G21" si="2">F7/$F$21</f>
        <v>4.1490221193366664E-2</v>
      </c>
      <c r="H7" s="39" t="s">
        <v>54</v>
      </c>
      <c r="I7" s="40"/>
    </row>
    <row r="8" spans="1:9" x14ac:dyDescent="0.3">
      <c r="B8" t="s">
        <v>3</v>
      </c>
      <c r="C8" s="17">
        <v>523.35125399963681</v>
      </c>
      <c r="D8" s="4">
        <f t="shared" si="0"/>
        <v>26167.562699981841</v>
      </c>
      <c r="E8" s="19" t="s">
        <v>17</v>
      </c>
      <c r="F8" s="4">
        <f t="shared" si="1"/>
        <v>62802150.479956418</v>
      </c>
      <c r="G8" s="21">
        <f t="shared" si="2"/>
        <v>5.0597830723617877E-2</v>
      </c>
      <c r="H8" s="39" t="s">
        <v>54</v>
      </c>
      <c r="I8" s="40"/>
    </row>
    <row r="9" spans="1:9" x14ac:dyDescent="0.3">
      <c r="B9" t="s">
        <v>4</v>
      </c>
      <c r="C9" s="17">
        <v>496.70791743238266</v>
      </c>
      <c r="D9" s="4">
        <f t="shared" si="0"/>
        <v>24835.395871619134</v>
      </c>
      <c r="E9" s="19" t="s">
        <v>17</v>
      </c>
      <c r="F9" s="4">
        <f t="shared" si="1"/>
        <v>59604950.091885924</v>
      </c>
      <c r="G9" s="21">
        <f t="shared" si="2"/>
        <v>4.8021941159506434E-2</v>
      </c>
      <c r="H9" s="39" t="s">
        <v>53</v>
      </c>
      <c r="I9" s="40"/>
    </row>
    <row r="10" spans="1:9" x14ac:dyDescent="0.3">
      <c r="B10" t="s">
        <v>5</v>
      </c>
      <c r="C10" s="17">
        <v>71.366080090859569</v>
      </c>
      <c r="D10" s="4">
        <f t="shared" si="0"/>
        <v>3568.3040045429784</v>
      </c>
      <c r="E10" s="19" t="s">
        <v>0</v>
      </c>
      <c r="F10" s="4">
        <f t="shared" si="1"/>
        <v>8563929.6109031476</v>
      </c>
      <c r="G10" s="21">
        <f t="shared" si="2"/>
        <v>6.8997041895842558E-3</v>
      </c>
      <c r="H10" s="39" t="s">
        <v>54</v>
      </c>
      <c r="I10" s="40"/>
    </row>
    <row r="11" spans="1:9" x14ac:dyDescent="0.3">
      <c r="B11" t="s">
        <v>6</v>
      </c>
      <c r="C11" s="17">
        <v>940.12916173025678</v>
      </c>
      <c r="D11" s="4">
        <f t="shared" si="0"/>
        <v>47006.458086512837</v>
      </c>
      <c r="E11" s="19" t="s">
        <v>0</v>
      </c>
      <c r="F11" s="4">
        <f t="shared" si="1"/>
        <v>112815499.40763082</v>
      </c>
      <c r="G11" s="21">
        <f t="shared" si="2"/>
        <v>9.0892103190789941E-2</v>
      </c>
      <c r="H11" s="39" t="s">
        <v>53</v>
      </c>
      <c r="I11" s="40"/>
    </row>
    <row r="12" spans="1:9" x14ac:dyDescent="0.3">
      <c r="B12" t="s">
        <v>7</v>
      </c>
      <c r="C12" s="17">
        <v>1727.0591381988017</v>
      </c>
      <c r="D12" s="4">
        <f t="shared" si="0"/>
        <v>86352.956909940083</v>
      </c>
      <c r="E12" s="19" t="s">
        <v>0</v>
      </c>
      <c r="F12" s="4">
        <f t="shared" si="1"/>
        <v>207247096.5838562</v>
      </c>
      <c r="G12" s="21">
        <f t="shared" si="2"/>
        <v>0.166972841387939</v>
      </c>
      <c r="H12" s="39" t="s">
        <v>53</v>
      </c>
      <c r="I12" s="40"/>
    </row>
    <row r="13" spans="1:9" x14ac:dyDescent="0.3">
      <c r="B13" t="s">
        <v>8</v>
      </c>
      <c r="C13" s="17">
        <v>973.43333243932477</v>
      </c>
      <c r="D13" s="4">
        <f t="shared" si="0"/>
        <v>48671.666621966237</v>
      </c>
      <c r="E13" s="19" t="s">
        <v>0</v>
      </c>
      <c r="F13" s="4">
        <f t="shared" si="1"/>
        <v>116811999.89271897</v>
      </c>
      <c r="G13" s="21">
        <f t="shared" si="2"/>
        <v>9.4111965145929274E-2</v>
      </c>
      <c r="H13" s="39" t="s">
        <v>53</v>
      </c>
      <c r="I13" s="40"/>
    </row>
    <row r="14" spans="1:9" x14ac:dyDescent="0.3">
      <c r="B14" t="s">
        <v>9</v>
      </c>
      <c r="C14" s="17">
        <v>13.251366120218579</v>
      </c>
      <c r="D14" s="4">
        <f t="shared" si="0"/>
        <v>662.56830601092895</v>
      </c>
      <c r="E14" s="19" t="s">
        <v>29</v>
      </c>
      <c r="F14" s="4">
        <f t="shared" si="1"/>
        <v>1590163.9344262294</v>
      </c>
      <c r="G14" s="21">
        <f t="shared" si="2"/>
        <v>1.2811479378015782E-3</v>
      </c>
      <c r="H14" s="39" t="s">
        <v>54</v>
      </c>
      <c r="I14" s="40"/>
    </row>
    <row r="15" spans="1:9" x14ac:dyDescent="0.3">
      <c r="B15" t="s">
        <v>10</v>
      </c>
      <c r="C15" s="17">
        <v>2.7322404371584699</v>
      </c>
      <c r="D15" s="4">
        <f t="shared" si="0"/>
        <v>136.61202185792348</v>
      </c>
      <c r="E15" s="19" t="s">
        <v>29</v>
      </c>
      <c r="F15" s="4">
        <f t="shared" si="1"/>
        <v>327868.85245901637</v>
      </c>
      <c r="G15" s="21">
        <f t="shared" si="2"/>
        <v>2.6415421397970684E-4</v>
      </c>
      <c r="H15" s="39" t="s">
        <v>54</v>
      </c>
      <c r="I15" s="40"/>
    </row>
    <row r="16" spans="1:9" x14ac:dyDescent="0.3">
      <c r="B16" t="s">
        <v>11</v>
      </c>
      <c r="C16" s="17">
        <v>526.11412781737965</v>
      </c>
      <c r="D16" s="4">
        <f t="shared" si="0"/>
        <v>26305.706390868982</v>
      </c>
      <c r="E16" s="19" t="s">
        <v>31</v>
      </c>
      <c r="F16" s="4">
        <f t="shared" si="1"/>
        <v>63133695.338085555</v>
      </c>
      <c r="G16" s="21">
        <f t="shared" si="2"/>
        <v>5.0864946586382132E-2</v>
      </c>
      <c r="H16" s="39" t="s">
        <v>54</v>
      </c>
      <c r="I16" s="40"/>
    </row>
    <row r="17" spans="1:9" x14ac:dyDescent="0.3">
      <c r="B17" t="s">
        <v>12</v>
      </c>
      <c r="C17" s="17">
        <v>528.63763030266364</v>
      </c>
      <c r="D17" s="4">
        <f t="shared" si="0"/>
        <v>26431.88151513318</v>
      </c>
      <c r="E17" s="19" t="s">
        <v>17</v>
      </c>
      <c r="F17" s="4">
        <f t="shared" si="1"/>
        <v>63436515.63631963</v>
      </c>
      <c r="G17" s="21">
        <f t="shared" si="2"/>
        <v>5.1108919922846351E-2</v>
      </c>
      <c r="H17" s="39" t="s">
        <v>54</v>
      </c>
      <c r="I17" s="40"/>
    </row>
    <row r="18" spans="1:9" x14ac:dyDescent="0.3">
      <c r="B18" t="s">
        <v>13</v>
      </c>
      <c r="C18" s="17">
        <v>5.0136612021857925</v>
      </c>
      <c r="D18" s="4">
        <f t="shared" si="0"/>
        <v>250.68306010928961</v>
      </c>
      <c r="E18" s="19" t="s">
        <v>29</v>
      </c>
      <c r="F18" s="4">
        <f t="shared" si="1"/>
        <v>601639.34426229505</v>
      </c>
      <c r="G18" s="21">
        <f t="shared" si="2"/>
        <v>4.8472298265276204E-4</v>
      </c>
      <c r="H18" s="39" t="s">
        <v>54</v>
      </c>
      <c r="I18" s="40"/>
    </row>
    <row r="19" spans="1:9" x14ac:dyDescent="0.3">
      <c r="B19" t="s">
        <v>14</v>
      </c>
      <c r="C19" s="17">
        <v>2246.7099287863198</v>
      </c>
      <c r="D19" s="4">
        <f t="shared" si="0"/>
        <v>112335.49643931599</v>
      </c>
      <c r="E19" s="19" t="s">
        <v>17</v>
      </c>
      <c r="F19" s="4">
        <f t="shared" si="1"/>
        <v>269605191.4543584</v>
      </c>
      <c r="G19" s="21">
        <f t="shared" si="2"/>
        <v>0.21721290967209697</v>
      </c>
      <c r="H19" s="39" t="s">
        <v>53</v>
      </c>
      <c r="I19" s="40"/>
    </row>
    <row r="20" spans="1:9" x14ac:dyDescent="0.3">
      <c r="B20" t="s">
        <v>15</v>
      </c>
      <c r="C20" s="17">
        <v>679.78053110797725</v>
      </c>
      <c r="D20" s="4">
        <f t="shared" si="0"/>
        <v>33989.026555398865</v>
      </c>
      <c r="E20" s="19" t="s">
        <v>30</v>
      </c>
      <c r="F20" s="3">
        <f>D20*2400</f>
        <v>81573663.732957274</v>
      </c>
      <c r="G20" s="22">
        <f>F20/$F$21</f>
        <v>6.5721482425713948E-2</v>
      </c>
      <c r="H20" s="41" t="s">
        <v>45</v>
      </c>
      <c r="I20" s="42"/>
    </row>
    <row r="21" spans="1:9" x14ac:dyDescent="0.3">
      <c r="B21" s="1" t="s">
        <v>16</v>
      </c>
      <c r="C21" s="24">
        <f>SUM(C6:C20)</f>
        <v>10343.353588780414</v>
      </c>
      <c r="D21" s="23">
        <f>SUM(D6:D20)</f>
        <v>517167.67943902063</v>
      </c>
      <c r="E21" s="25"/>
      <c r="F21" s="23">
        <f>SUM(F6:F20)</f>
        <v>1241202430.6536496</v>
      </c>
      <c r="G21" s="26">
        <f t="shared" si="2"/>
        <v>1</v>
      </c>
    </row>
    <row r="23" spans="1:9" x14ac:dyDescent="0.3">
      <c r="A23" s="2" t="s">
        <v>24</v>
      </c>
    </row>
    <row r="25" spans="1:9" x14ac:dyDescent="0.3">
      <c r="B25" s="30" t="s">
        <v>20</v>
      </c>
      <c r="C25" s="31" t="s">
        <v>21</v>
      </c>
      <c r="D25" s="31"/>
      <c r="E25" s="29" t="s">
        <v>33</v>
      </c>
      <c r="F25" s="32" t="s">
        <v>37</v>
      </c>
    </row>
    <row r="26" spans="1:9" x14ac:dyDescent="0.3">
      <c r="B26" s="5">
        <v>50</v>
      </c>
      <c r="C26" s="5">
        <v>115</v>
      </c>
      <c r="D26" s="5" t="s">
        <v>22</v>
      </c>
      <c r="E26" s="8">
        <f>1/(B26*24*365/(C26*1000))</f>
        <v>0.26255707762557073</v>
      </c>
      <c r="F26" s="9">
        <f>C26/24/365*1000</f>
        <v>13.12785388127854</v>
      </c>
    </row>
    <row r="27" spans="1:9" x14ac:dyDescent="0.3">
      <c r="B27" s="5">
        <v>60</v>
      </c>
      <c r="C27" s="5">
        <v>128</v>
      </c>
      <c r="D27" s="5" t="s">
        <v>22</v>
      </c>
      <c r="E27" s="8">
        <f t="shared" ref="E27:E31" si="3">1/(B27*24*365/(C27*1000))</f>
        <v>0.24353120243531201</v>
      </c>
      <c r="F27" s="9">
        <f t="shared" ref="F27:F31" si="4">C27/24/365*1000</f>
        <v>14.611872146118721</v>
      </c>
    </row>
    <row r="28" spans="1:9" x14ac:dyDescent="0.3">
      <c r="B28" s="5">
        <v>70</v>
      </c>
      <c r="C28" s="5">
        <v>139</v>
      </c>
      <c r="D28" s="5" t="s">
        <v>22</v>
      </c>
      <c r="E28" s="8">
        <f t="shared" si="3"/>
        <v>0.22667971298108286</v>
      </c>
      <c r="F28" s="9">
        <f t="shared" si="4"/>
        <v>15.8675799086758</v>
      </c>
    </row>
    <row r="29" spans="1:9" x14ac:dyDescent="0.3">
      <c r="B29" s="5">
        <v>80</v>
      </c>
      <c r="C29" s="5">
        <v>145</v>
      </c>
      <c r="D29" s="5" t="s">
        <v>22</v>
      </c>
      <c r="E29" s="8">
        <f t="shared" si="3"/>
        <v>0.20690639269406391</v>
      </c>
      <c r="F29" s="9">
        <f t="shared" si="4"/>
        <v>16.552511415525114</v>
      </c>
    </row>
    <row r="30" spans="1:9" x14ac:dyDescent="0.3">
      <c r="B30" s="5">
        <v>90</v>
      </c>
      <c r="C30" s="5">
        <v>149</v>
      </c>
      <c r="D30" s="5" t="s">
        <v>22</v>
      </c>
      <c r="E30" s="8">
        <f t="shared" si="3"/>
        <v>0.18899036022323693</v>
      </c>
      <c r="F30" s="9">
        <f t="shared" si="4"/>
        <v>17.009132420091323</v>
      </c>
    </row>
    <row r="31" spans="1:9" x14ac:dyDescent="0.3">
      <c r="B31" s="5">
        <v>100</v>
      </c>
      <c r="C31" s="5">
        <v>151</v>
      </c>
      <c r="D31" s="5" t="s">
        <v>22</v>
      </c>
      <c r="E31" s="8">
        <f t="shared" si="3"/>
        <v>0.1723744292237443</v>
      </c>
      <c r="F31" s="9">
        <f t="shared" si="4"/>
        <v>17.237442922374427</v>
      </c>
    </row>
    <row r="33" spans="1:11" x14ac:dyDescent="0.3">
      <c r="A33" s="2" t="s">
        <v>25</v>
      </c>
    </row>
    <row r="35" spans="1:11" ht="15.6" x14ac:dyDescent="0.3">
      <c r="B35" s="34" t="s">
        <v>26</v>
      </c>
      <c r="C35">
        <v>1</v>
      </c>
      <c r="D35">
        <v>2</v>
      </c>
      <c r="E35">
        <v>3</v>
      </c>
      <c r="F35">
        <v>4</v>
      </c>
      <c r="G35">
        <v>5</v>
      </c>
      <c r="H35">
        <v>6</v>
      </c>
      <c r="I35">
        <v>7</v>
      </c>
      <c r="J35">
        <v>8</v>
      </c>
      <c r="K35" t="s">
        <v>51</v>
      </c>
    </row>
    <row r="36" spans="1:11" ht="15.6" x14ac:dyDescent="0.3">
      <c r="B36" s="34" t="s">
        <v>27</v>
      </c>
      <c r="C36">
        <v>1.2060000000000002</v>
      </c>
      <c r="D36">
        <v>1.1919000000000002</v>
      </c>
      <c r="E36">
        <v>1.1134999999999999</v>
      </c>
      <c r="F36">
        <v>1.2324999999999999</v>
      </c>
      <c r="G36">
        <v>1.413</v>
      </c>
      <c r="H36">
        <v>1.4007000000000001</v>
      </c>
      <c r="I36">
        <v>1.5044999999999999</v>
      </c>
      <c r="J36">
        <v>1.5979999999999999</v>
      </c>
      <c r="K36">
        <v>1</v>
      </c>
    </row>
    <row r="38" spans="1:11" x14ac:dyDescent="0.3">
      <c r="B38" s="33" t="s">
        <v>34</v>
      </c>
      <c r="C38" s="2" t="s">
        <v>35</v>
      </c>
    </row>
    <row r="39" spans="1:11" x14ac:dyDescent="0.3">
      <c r="B39">
        <v>50</v>
      </c>
      <c r="C39" s="10">
        <f>$C26*C$36</f>
        <v>138.69000000000003</v>
      </c>
      <c r="D39" s="10">
        <f t="shared" ref="D39:J39" si="5">$C26*D$36</f>
        <v>137.06850000000003</v>
      </c>
      <c r="E39" s="10">
        <f t="shared" si="5"/>
        <v>128.05249999999998</v>
      </c>
      <c r="F39" s="10">
        <f t="shared" si="5"/>
        <v>141.73749999999998</v>
      </c>
      <c r="G39" s="10">
        <f t="shared" si="5"/>
        <v>162.495</v>
      </c>
      <c r="H39" s="10">
        <f t="shared" si="5"/>
        <v>161.0805</v>
      </c>
      <c r="I39" s="10">
        <f t="shared" si="5"/>
        <v>173.01749999999998</v>
      </c>
      <c r="J39" s="10">
        <f t="shared" si="5"/>
        <v>183.76999999999998</v>
      </c>
      <c r="K39" s="10">
        <f t="shared" ref="K39" si="6">$C26*K$36</f>
        <v>115</v>
      </c>
    </row>
    <row r="40" spans="1:11" x14ac:dyDescent="0.3">
      <c r="B40">
        <v>60</v>
      </c>
      <c r="C40" s="10">
        <f t="shared" ref="C40:J44" si="7">$C27*C$36</f>
        <v>154.36800000000002</v>
      </c>
      <c r="D40" s="10">
        <f t="shared" si="7"/>
        <v>152.56320000000002</v>
      </c>
      <c r="E40" s="10">
        <f>$C27*E$36</f>
        <v>142.52799999999999</v>
      </c>
      <c r="F40" s="10">
        <f t="shared" si="7"/>
        <v>157.76</v>
      </c>
      <c r="G40" s="10">
        <f t="shared" si="7"/>
        <v>180.864</v>
      </c>
      <c r="H40" s="10">
        <f t="shared" si="7"/>
        <v>179.28960000000001</v>
      </c>
      <c r="I40" s="10">
        <f t="shared" si="7"/>
        <v>192.57599999999999</v>
      </c>
      <c r="J40" s="10">
        <f t="shared" si="7"/>
        <v>204.54399999999998</v>
      </c>
      <c r="K40" s="10">
        <f t="shared" ref="K40" si="8">$C27*K$36</f>
        <v>128</v>
      </c>
    </row>
    <row r="41" spans="1:11" x14ac:dyDescent="0.3">
      <c r="B41">
        <v>70</v>
      </c>
      <c r="C41" s="10">
        <f t="shared" si="7"/>
        <v>167.63400000000001</v>
      </c>
      <c r="D41" s="10">
        <f t="shared" si="7"/>
        <v>165.67410000000004</v>
      </c>
      <c r="E41" s="10">
        <f t="shared" si="7"/>
        <v>154.7765</v>
      </c>
      <c r="F41" s="10">
        <f t="shared" si="7"/>
        <v>171.3175</v>
      </c>
      <c r="G41" s="10">
        <f t="shared" si="7"/>
        <v>196.40700000000001</v>
      </c>
      <c r="H41" s="10">
        <f t="shared" si="7"/>
        <v>194.69730000000001</v>
      </c>
      <c r="I41" s="10">
        <f t="shared" si="7"/>
        <v>209.12549999999999</v>
      </c>
      <c r="J41" s="10">
        <f t="shared" si="7"/>
        <v>222.12199999999999</v>
      </c>
      <c r="K41" s="10">
        <f t="shared" ref="K41" si="9">$C28*K$36</f>
        <v>139</v>
      </c>
    </row>
    <row r="42" spans="1:11" x14ac:dyDescent="0.3">
      <c r="B42">
        <v>80</v>
      </c>
      <c r="C42" s="10">
        <f t="shared" si="7"/>
        <v>174.87000000000003</v>
      </c>
      <c r="D42" s="10">
        <f t="shared" si="7"/>
        <v>172.82550000000003</v>
      </c>
      <c r="E42" s="10">
        <f t="shared" si="7"/>
        <v>161.45749999999998</v>
      </c>
      <c r="F42" s="10">
        <f t="shared" si="7"/>
        <v>178.71249999999998</v>
      </c>
      <c r="G42" s="10">
        <f t="shared" si="7"/>
        <v>204.88499999999999</v>
      </c>
      <c r="H42" s="10">
        <f t="shared" si="7"/>
        <v>203.10150000000002</v>
      </c>
      <c r="I42" s="10">
        <f t="shared" si="7"/>
        <v>218.1525</v>
      </c>
      <c r="J42" s="10">
        <f t="shared" si="7"/>
        <v>231.70999999999998</v>
      </c>
      <c r="K42" s="10">
        <f t="shared" ref="K42" si="10">$C29*K$36</f>
        <v>145</v>
      </c>
    </row>
    <row r="43" spans="1:11" x14ac:dyDescent="0.3">
      <c r="B43">
        <v>90</v>
      </c>
      <c r="C43" s="10">
        <f t="shared" si="7"/>
        <v>179.69400000000002</v>
      </c>
      <c r="D43" s="10">
        <f t="shared" si="7"/>
        <v>177.59310000000002</v>
      </c>
      <c r="E43" s="10">
        <f t="shared" si="7"/>
        <v>165.91149999999999</v>
      </c>
      <c r="F43" s="10">
        <f t="shared" si="7"/>
        <v>183.64249999999998</v>
      </c>
      <c r="G43" s="10">
        <f t="shared" si="7"/>
        <v>210.53700000000001</v>
      </c>
      <c r="H43" s="10">
        <f t="shared" si="7"/>
        <v>208.70430000000002</v>
      </c>
      <c r="I43" s="10">
        <f t="shared" si="7"/>
        <v>224.1705</v>
      </c>
      <c r="J43" s="10">
        <f t="shared" si="7"/>
        <v>238.10199999999998</v>
      </c>
      <c r="K43" s="10">
        <f t="shared" ref="K43" si="11">$C30*K$36</f>
        <v>149</v>
      </c>
    </row>
    <row r="44" spans="1:11" x14ac:dyDescent="0.3">
      <c r="B44">
        <v>100</v>
      </c>
      <c r="C44" s="10">
        <f t="shared" si="7"/>
        <v>182.10600000000002</v>
      </c>
      <c r="D44" s="10">
        <f t="shared" si="7"/>
        <v>179.97690000000003</v>
      </c>
      <c r="E44" s="10">
        <f t="shared" si="7"/>
        <v>168.13849999999999</v>
      </c>
      <c r="F44" s="10">
        <f t="shared" si="7"/>
        <v>186.10749999999999</v>
      </c>
      <c r="G44" s="10">
        <f t="shared" si="7"/>
        <v>213.363</v>
      </c>
      <c r="H44" s="10">
        <f t="shared" si="7"/>
        <v>211.50570000000002</v>
      </c>
      <c r="I44" s="10">
        <f t="shared" si="7"/>
        <v>227.17949999999999</v>
      </c>
      <c r="J44" s="10">
        <f t="shared" si="7"/>
        <v>241.29799999999997</v>
      </c>
      <c r="K44" s="10">
        <f t="shared" ref="K44" si="12">$C31*K$36</f>
        <v>151</v>
      </c>
    </row>
    <row r="46" spans="1:11" x14ac:dyDescent="0.3">
      <c r="B46" s="33" t="s">
        <v>34</v>
      </c>
      <c r="C46" s="2" t="s">
        <v>37</v>
      </c>
    </row>
    <row r="47" spans="1:11" x14ac:dyDescent="0.3">
      <c r="B47">
        <v>50</v>
      </c>
      <c r="C47" s="9">
        <f>C39/24/365*1000</f>
        <v>15.832191780821921</v>
      </c>
      <c r="D47" s="9">
        <f t="shared" ref="D47:J47" si="13">D39/24/365*1000</f>
        <v>15.647089041095894</v>
      </c>
      <c r="E47" s="9">
        <f t="shared" si="13"/>
        <v>14.617865296803652</v>
      </c>
      <c r="F47" s="9">
        <f t="shared" si="13"/>
        <v>16.180079908675797</v>
      </c>
      <c r="G47" s="9">
        <f t="shared" si="13"/>
        <v>18.549657534246574</v>
      </c>
      <c r="H47" s="9">
        <f t="shared" si="13"/>
        <v>18.388184931506849</v>
      </c>
      <c r="I47" s="9">
        <f t="shared" si="13"/>
        <v>19.75085616438356</v>
      </c>
      <c r="J47" s="9">
        <f t="shared" si="13"/>
        <v>20.978310502283104</v>
      </c>
      <c r="K47" s="9">
        <f t="shared" ref="K47" si="14">K39/24/365*1000</f>
        <v>13.12785388127854</v>
      </c>
    </row>
    <row r="48" spans="1:11" x14ac:dyDescent="0.3">
      <c r="B48">
        <v>60</v>
      </c>
      <c r="C48" s="9">
        <f t="shared" ref="C48:J52" si="15">C40/24/365*1000</f>
        <v>17.62191780821918</v>
      </c>
      <c r="D48" s="9">
        <f t="shared" si="15"/>
        <v>17.415890410958905</v>
      </c>
      <c r="E48" s="9">
        <f t="shared" si="15"/>
        <v>16.270319634703196</v>
      </c>
      <c r="F48" s="9">
        <f t="shared" si="15"/>
        <v>18.009132420091323</v>
      </c>
      <c r="G48" s="9">
        <f t="shared" si="15"/>
        <v>20.646575342465756</v>
      </c>
      <c r="H48" s="9">
        <f t="shared" si="15"/>
        <v>20.466849315068494</v>
      </c>
      <c r="I48" s="9">
        <f t="shared" si="15"/>
        <v>21.983561643835614</v>
      </c>
      <c r="J48" s="9">
        <f t="shared" si="15"/>
        <v>23.349771689497715</v>
      </c>
      <c r="K48" s="9">
        <f t="shared" ref="K48" si="16">K40/24/365*1000</f>
        <v>14.611872146118721</v>
      </c>
    </row>
    <row r="49" spans="1:11" x14ac:dyDescent="0.3">
      <c r="B49">
        <v>70</v>
      </c>
      <c r="C49" s="9">
        <f t="shared" si="15"/>
        <v>19.136301369863016</v>
      </c>
      <c r="D49" s="9">
        <f t="shared" si="15"/>
        <v>18.912568493150687</v>
      </c>
      <c r="E49" s="9">
        <f t="shared" si="15"/>
        <v>17.668550228310501</v>
      </c>
      <c r="F49" s="9">
        <f t="shared" si="15"/>
        <v>19.55679223744292</v>
      </c>
      <c r="G49" s="9">
        <f t="shared" si="15"/>
        <v>22.420890410958908</v>
      </c>
      <c r="H49" s="9">
        <f t="shared" si="15"/>
        <v>22.225719178082194</v>
      </c>
      <c r="I49" s="9">
        <f t="shared" si="15"/>
        <v>23.87277397260274</v>
      </c>
      <c r="J49" s="9">
        <f t="shared" si="15"/>
        <v>25.356392694063928</v>
      </c>
      <c r="K49" s="9">
        <f t="shared" ref="K49" si="17">K41/24/365*1000</f>
        <v>15.8675799086758</v>
      </c>
    </row>
    <row r="50" spans="1:11" x14ac:dyDescent="0.3">
      <c r="B50">
        <v>80</v>
      </c>
      <c r="C50" s="9">
        <f t="shared" si="15"/>
        <v>19.962328767123292</v>
      </c>
      <c r="D50" s="9">
        <f t="shared" si="15"/>
        <v>19.728938356164388</v>
      </c>
      <c r="E50" s="9">
        <f t="shared" si="15"/>
        <v>18.43122146118721</v>
      </c>
      <c r="F50" s="9">
        <f t="shared" si="15"/>
        <v>20.400970319634702</v>
      </c>
      <c r="G50" s="9">
        <f t="shared" si="15"/>
        <v>23.388698630136986</v>
      </c>
      <c r="H50" s="9">
        <f t="shared" si="15"/>
        <v>23.18510273972603</v>
      </c>
      <c r="I50" s="9">
        <f t="shared" si="15"/>
        <v>24.903253424657535</v>
      </c>
      <c r="J50" s="9">
        <f t="shared" si="15"/>
        <v>26.450913242009133</v>
      </c>
      <c r="K50" s="9">
        <f t="shared" ref="K50" si="18">K42/24/365*1000</f>
        <v>16.552511415525114</v>
      </c>
    </row>
    <row r="51" spans="1:11" x14ac:dyDescent="0.3">
      <c r="B51">
        <v>90</v>
      </c>
      <c r="C51" s="9">
        <f t="shared" si="15"/>
        <v>20.513013698630136</v>
      </c>
      <c r="D51" s="9">
        <f t="shared" si="15"/>
        <v>20.273184931506851</v>
      </c>
      <c r="E51" s="9">
        <f t="shared" si="15"/>
        <v>18.93966894977169</v>
      </c>
      <c r="F51" s="9">
        <f t="shared" si="15"/>
        <v>20.963755707762559</v>
      </c>
      <c r="G51" s="9">
        <f t="shared" si="15"/>
        <v>24.033904109589042</v>
      </c>
      <c r="H51" s="9">
        <f t="shared" si="15"/>
        <v>23.824691780821919</v>
      </c>
      <c r="I51" s="9">
        <f t="shared" si="15"/>
        <v>25.590239726027399</v>
      </c>
      <c r="J51" s="9">
        <f t="shared" si="15"/>
        <v>27.18059360730593</v>
      </c>
      <c r="K51" s="9">
        <f t="shared" ref="K51" si="19">K43/24/365*1000</f>
        <v>17.009132420091323</v>
      </c>
    </row>
    <row r="52" spans="1:11" x14ac:dyDescent="0.3">
      <c r="B52">
        <v>100</v>
      </c>
      <c r="C52" s="9">
        <f t="shared" si="15"/>
        <v>20.788356164383565</v>
      </c>
      <c r="D52" s="9">
        <f t="shared" si="15"/>
        <v>20.545308219178082</v>
      </c>
      <c r="E52" s="9">
        <f t="shared" si="15"/>
        <v>19.193892694063926</v>
      </c>
      <c r="F52" s="9">
        <f t="shared" si="15"/>
        <v>21.245148401826484</v>
      </c>
      <c r="G52" s="9">
        <f t="shared" si="15"/>
        <v>24.356506849315068</v>
      </c>
      <c r="H52" s="9">
        <f t="shared" si="15"/>
        <v>24.144486301369867</v>
      </c>
      <c r="I52" s="9">
        <f t="shared" si="15"/>
        <v>25.93373287671233</v>
      </c>
      <c r="J52" s="9">
        <f t="shared" si="15"/>
        <v>27.545433789954334</v>
      </c>
      <c r="K52" s="9">
        <f t="shared" ref="K52" si="20">K44/24/365*1000</f>
        <v>17.237442922374427</v>
      </c>
    </row>
    <row r="54" spans="1:11" x14ac:dyDescent="0.3">
      <c r="B54" s="33" t="s">
        <v>34</v>
      </c>
      <c r="C54" s="2" t="s">
        <v>36</v>
      </c>
    </row>
    <row r="55" spans="1:11" x14ac:dyDescent="0.3">
      <c r="B55">
        <v>50</v>
      </c>
      <c r="C55" s="6">
        <f>C47/$B47</f>
        <v>0.31664383561643844</v>
      </c>
      <c r="D55" s="6">
        <f t="shared" ref="D55:J55" si="21">D47/$B47</f>
        <v>0.31294178082191787</v>
      </c>
      <c r="E55" s="6">
        <f t="shared" si="21"/>
        <v>0.29235730593607306</v>
      </c>
      <c r="F55" s="6">
        <f t="shared" si="21"/>
        <v>0.32360159817351591</v>
      </c>
      <c r="G55" s="6">
        <f t="shared" si="21"/>
        <v>0.37099315068493149</v>
      </c>
      <c r="H55" s="6">
        <f t="shared" si="21"/>
        <v>0.36776369863013697</v>
      </c>
      <c r="I55" s="6">
        <f t="shared" si="21"/>
        <v>0.39501712328767119</v>
      </c>
      <c r="J55" s="6">
        <f t="shared" si="21"/>
        <v>0.41956621004566208</v>
      </c>
      <c r="K55" s="6">
        <f t="shared" ref="K55" si="22">K47/$B47</f>
        <v>0.26255707762557079</v>
      </c>
    </row>
    <row r="56" spans="1:11" x14ac:dyDescent="0.3">
      <c r="B56">
        <v>60</v>
      </c>
      <c r="C56" s="6">
        <f t="shared" ref="C56:J60" si="23">C48/$B48</f>
        <v>0.29369863013698633</v>
      </c>
      <c r="D56" s="6">
        <f t="shared" si="23"/>
        <v>0.29026484018264842</v>
      </c>
      <c r="E56" s="6">
        <f t="shared" si="23"/>
        <v>0.27117199391171992</v>
      </c>
      <c r="F56" s="6">
        <f t="shared" si="23"/>
        <v>0.30015220700152206</v>
      </c>
      <c r="G56" s="6">
        <f t="shared" si="23"/>
        <v>0.34410958904109595</v>
      </c>
      <c r="H56" s="6">
        <f t="shared" si="23"/>
        <v>0.34111415525114158</v>
      </c>
      <c r="I56" s="6">
        <f t="shared" si="23"/>
        <v>0.36639269406392688</v>
      </c>
      <c r="J56" s="6">
        <f t="shared" si="23"/>
        <v>0.3891628614916286</v>
      </c>
      <c r="K56" s="6">
        <f t="shared" ref="K56" si="24">K48/$B48</f>
        <v>0.24353120243531201</v>
      </c>
    </row>
    <row r="57" spans="1:11" x14ac:dyDescent="0.3">
      <c r="B57">
        <v>70</v>
      </c>
      <c r="C57" s="6">
        <f t="shared" si="23"/>
        <v>0.27337573385518593</v>
      </c>
      <c r="D57" s="6">
        <f t="shared" si="23"/>
        <v>0.27017954990215265</v>
      </c>
      <c r="E57" s="6">
        <f t="shared" si="23"/>
        <v>0.25240786040443575</v>
      </c>
      <c r="F57" s="6">
        <f t="shared" si="23"/>
        <v>0.27938274624918458</v>
      </c>
      <c r="G57" s="6">
        <f t="shared" si="23"/>
        <v>0.32029843444227013</v>
      </c>
      <c r="H57" s="6">
        <f t="shared" si="23"/>
        <v>0.31751027397260279</v>
      </c>
      <c r="I57" s="6">
        <f t="shared" si="23"/>
        <v>0.34103962818003913</v>
      </c>
      <c r="J57" s="6">
        <f t="shared" si="23"/>
        <v>0.36223418134377039</v>
      </c>
      <c r="K57" s="6">
        <f t="shared" ref="K57" si="25">K49/$B49</f>
        <v>0.22667971298108286</v>
      </c>
    </row>
    <row r="58" spans="1:11" x14ac:dyDescent="0.3">
      <c r="B58">
        <v>80</v>
      </c>
      <c r="C58" s="6">
        <f t="shared" si="23"/>
        <v>0.24952910958904115</v>
      </c>
      <c r="D58" s="6">
        <f t="shared" si="23"/>
        <v>0.24661172945205484</v>
      </c>
      <c r="E58" s="6">
        <f t="shared" si="23"/>
        <v>0.23039026826484013</v>
      </c>
      <c r="F58" s="6">
        <f t="shared" si="23"/>
        <v>0.2550121289954338</v>
      </c>
      <c r="G58" s="6">
        <f t="shared" si="23"/>
        <v>0.29235873287671232</v>
      </c>
      <c r="H58" s="6">
        <f t="shared" si="23"/>
        <v>0.28981378424657539</v>
      </c>
      <c r="I58" s="6">
        <f t="shared" si="23"/>
        <v>0.31129066780821918</v>
      </c>
      <c r="J58" s="6">
        <f t="shared" si="23"/>
        <v>0.33063641552511414</v>
      </c>
      <c r="K58" s="6">
        <f t="shared" ref="K58" si="26">K50/$B50</f>
        <v>0.20690639269406391</v>
      </c>
    </row>
    <row r="59" spans="1:11" x14ac:dyDescent="0.3">
      <c r="B59">
        <v>90</v>
      </c>
      <c r="C59" s="6">
        <f t="shared" si="23"/>
        <v>0.22792237442922372</v>
      </c>
      <c r="D59" s="6">
        <f t="shared" si="23"/>
        <v>0.22525761035007613</v>
      </c>
      <c r="E59" s="6">
        <f t="shared" si="23"/>
        <v>0.21044076610857435</v>
      </c>
      <c r="F59" s="6">
        <f t="shared" si="23"/>
        <v>0.23293061897513953</v>
      </c>
      <c r="G59" s="6">
        <f t="shared" si="23"/>
        <v>0.26704337899543379</v>
      </c>
      <c r="H59" s="6">
        <f t="shared" si="23"/>
        <v>0.26471879756468797</v>
      </c>
      <c r="I59" s="6">
        <f t="shared" si="23"/>
        <v>0.28433599695585998</v>
      </c>
      <c r="J59" s="6">
        <f t="shared" si="23"/>
        <v>0.30200659563673254</v>
      </c>
      <c r="K59" s="6">
        <f t="shared" ref="K59" si="27">K51/$B51</f>
        <v>0.18899036022323693</v>
      </c>
    </row>
    <row r="60" spans="1:11" x14ac:dyDescent="0.3">
      <c r="B60">
        <v>100</v>
      </c>
      <c r="C60" s="6">
        <f t="shared" si="23"/>
        <v>0.20788356164383565</v>
      </c>
      <c r="D60" s="6">
        <f t="shared" si="23"/>
        <v>0.20545308219178082</v>
      </c>
      <c r="E60" s="6">
        <f t="shared" si="23"/>
        <v>0.19193892694063927</v>
      </c>
      <c r="F60" s="6">
        <f t="shared" si="23"/>
        <v>0.21245148401826483</v>
      </c>
      <c r="G60" s="6">
        <f t="shared" si="23"/>
        <v>0.24356506849315068</v>
      </c>
      <c r="H60" s="6">
        <f t="shared" si="23"/>
        <v>0.24144486301369866</v>
      </c>
      <c r="I60" s="6">
        <f t="shared" si="23"/>
        <v>0.25933732876712329</v>
      </c>
      <c r="J60" s="6">
        <f t="shared" si="23"/>
        <v>0.27545433789954332</v>
      </c>
      <c r="K60" s="6">
        <f t="shared" ref="K60" si="28">K52/$B52</f>
        <v>0.17237442922374427</v>
      </c>
    </row>
    <row r="62" spans="1:11" ht="15.6" x14ac:dyDescent="0.3">
      <c r="A62" s="34" t="s">
        <v>38</v>
      </c>
    </row>
    <row r="63" spans="1:11" x14ac:dyDescent="0.3">
      <c r="A63" s="2"/>
      <c r="B63" t="s">
        <v>49</v>
      </c>
      <c r="C63" s="13">
        <v>-86000</v>
      </c>
      <c r="D63" s="13">
        <v>-86000</v>
      </c>
      <c r="E63" s="13">
        <v>-25000</v>
      </c>
      <c r="F63" s="13">
        <v>-25000</v>
      </c>
      <c r="G63" s="13">
        <v>-61000</v>
      </c>
      <c r="H63" s="13">
        <v>-61000</v>
      </c>
      <c r="I63" s="13">
        <v>0</v>
      </c>
      <c r="J63" s="13">
        <v>0</v>
      </c>
      <c r="K63" s="13">
        <f>D63</f>
        <v>-86000</v>
      </c>
    </row>
    <row r="64" spans="1:11" x14ac:dyDescent="0.3">
      <c r="A64" s="2"/>
      <c r="B64" t="s">
        <v>50</v>
      </c>
      <c r="C64" s="13">
        <f>C63/3.6</f>
        <v>-23888.888888888887</v>
      </c>
      <c r="D64" s="13">
        <f t="shared" ref="D64:J64" si="29">D63/3.6</f>
        <v>-23888.888888888887</v>
      </c>
      <c r="E64" s="13">
        <f t="shared" si="29"/>
        <v>-6944.4444444444443</v>
      </c>
      <c r="F64" s="13">
        <f t="shared" si="29"/>
        <v>-6944.4444444444443</v>
      </c>
      <c r="G64" s="13">
        <f t="shared" si="29"/>
        <v>-16944.444444444445</v>
      </c>
      <c r="H64" s="13">
        <f t="shared" si="29"/>
        <v>-16944.444444444445</v>
      </c>
      <c r="I64" s="13">
        <f t="shared" si="29"/>
        <v>0</v>
      </c>
      <c r="J64" s="13">
        <f t="shared" si="29"/>
        <v>0</v>
      </c>
      <c r="K64" s="13">
        <f>D64</f>
        <v>-23888.888888888887</v>
      </c>
    </row>
    <row r="65" spans="1:11" x14ac:dyDescent="0.3">
      <c r="B65" s="12" t="s">
        <v>39</v>
      </c>
      <c r="C65" t="s">
        <v>17</v>
      </c>
    </row>
    <row r="66" spans="1:11" x14ac:dyDescent="0.3">
      <c r="B66">
        <v>50</v>
      </c>
      <c r="C66" s="15">
        <f>$J66+C$64</f>
        <v>493278.79055013176</v>
      </c>
      <c r="D66" s="15">
        <f t="shared" ref="D66:I66" si="30">$J66+D$64</f>
        <v>493278.79055013176</v>
      </c>
      <c r="E66" s="15">
        <f t="shared" si="30"/>
        <v>510223.2349945762</v>
      </c>
      <c r="F66" s="15">
        <f t="shared" si="30"/>
        <v>510223.2349945762</v>
      </c>
      <c r="G66" s="15">
        <f t="shared" si="30"/>
        <v>500223.2349945762</v>
      </c>
      <c r="H66" s="15">
        <f t="shared" si="30"/>
        <v>500223.2349945762</v>
      </c>
      <c r="I66" s="15">
        <f t="shared" si="30"/>
        <v>517167.67943902063</v>
      </c>
      <c r="J66" s="13">
        <f>D21</f>
        <v>517167.67943902063</v>
      </c>
      <c r="K66" s="15">
        <f>C66</f>
        <v>493278.79055013176</v>
      </c>
    </row>
    <row r="67" spans="1:11" x14ac:dyDescent="0.3">
      <c r="B67">
        <v>60</v>
      </c>
      <c r="C67" s="15">
        <f t="shared" ref="C67:I71" si="31">$J67+C$64</f>
        <v>530398.66767472425</v>
      </c>
      <c r="D67" s="15">
        <f t="shared" si="31"/>
        <v>530398.66767472425</v>
      </c>
      <c r="E67" s="15">
        <f t="shared" si="31"/>
        <v>547343.11211916863</v>
      </c>
      <c r="F67" s="15">
        <f t="shared" si="31"/>
        <v>547343.11211916863</v>
      </c>
      <c r="G67" s="15">
        <f t="shared" si="31"/>
        <v>537343.11211916863</v>
      </c>
      <c r="H67" s="15">
        <f t="shared" si="31"/>
        <v>537343.11211916863</v>
      </c>
      <c r="I67" s="15">
        <f t="shared" si="31"/>
        <v>554287.55656361312</v>
      </c>
      <c r="J67" s="13">
        <f>$B67*($C$10+$C$11+$C$12+$C$13)+($D$6+$D$7+$D$8+$D$9+$D$14+$D$15+$D$16+$D$17+$D$18+$D$19+$D$20)</f>
        <v>554287.55656361312</v>
      </c>
      <c r="K67" s="15">
        <f t="shared" ref="K67:K71" si="32">C67</f>
        <v>530398.66767472425</v>
      </c>
    </row>
    <row r="68" spans="1:11" x14ac:dyDescent="0.3">
      <c r="B68">
        <v>70</v>
      </c>
      <c r="C68" s="15">
        <f t="shared" si="31"/>
        <v>567518.54479931667</v>
      </c>
      <c r="D68" s="15">
        <f t="shared" si="31"/>
        <v>567518.54479931667</v>
      </c>
      <c r="E68" s="15">
        <f t="shared" si="31"/>
        <v>584462.98924376105</v>
      </c>
      <c r="F68" s="15">
        <f t="shared" si="31"/>
        <v>584462.98924376105</v>
      </c>
      <c r="G68" s="15">
        <f t="shared" si="31"/>
        <v>574462.98924376105</v>
      </c>
      <c r="H68" s="15">
        <f t="shared" si="31"/>
        <v>574462.98924376105</v>
      </c>
      <c r="I68" s="15">
        <f t="shared" si="31"/>
        <v>591407.43368820555</v>
      </c>
      <c r="J68" s="13">
        <f t="shared" ref="J68:J71" si="33">$B68*($C$10+$C$11+$C$12+$C$13)+($D$6+$D$7+$D$8+$D$9+$D$14+$D$15+$D$16+$D$17+$D$18+$D$19+$D$20)</f>
        <v>591407.43368820555</v>
      </c>
      <c r="K68" s="15">
        <f t="shared" si="32"/>
        <v>567518.54479931667</v>
      </c>
    </row>
    <row r="69" spans="1:11" x14ac:dyDescent="0.3">
      <c r="B69">
        <v>80</v>
      </c>
      <c r="C69" s="15">
        <f t="shared" si="31"/>
        <v>604638.4219239091</v>
      </c>
      <c r="D69" s="15">
        <f t="shared" si="31"/>
        <v>604638.4219239091</v>
      </c>
      <c r="E69" s="15">
        <f t="shared" si="31"/>
        <v>621582.86636835348</v>
      </c>
      <c r="F69" s="15">
        <f t="shared" si="31"/>
        <v>621582.86636835348</v>
      </c>
      <c r="G69" s="15">
        <f t="shared" si="31"/>
        <v>611582.86636835348</v>
      </c>
      <c r="H69" s="15">
        <f t="shared" si="31"/>
        <v>611582.86636835348</v>
      </c>
      <c r="I69" s="15">
        <f t="shared" si="31"/>
        <v>628527.31081279798</v>
      </c>
      <c r="J69" s="13">
        <f t="shared" si="33"/>
        <v>628527.31081279798</v>
      </c>
      <c r="K69" s="15">
        <f t="shared" si="32"/>
        <v>604638.4219239091</v>
      </c>
    </row>
    <row r="70" spans="1:11" x14ac:dyDescent="0.3">
      <c r="B70">
        <v>90</v>
      </c>
      <c r="C70" s="15">
        <f t="shared" si="31"/>
        <v>641758.29904850153</v>
      </c>
      <c r="D70" s="15">
        <f t="shared" si="31"/>
        <v>641758.29904850153</v>
      </c>
      <c r="E70" s="15">
        <f t="shared" si="31"/>
        <v>658702.74349294591</v>
      </c>
      <c r="F70" s="15">
        <f t="shared" si="31"/>
        <v>658702.74349294591</v>
      </c>
      <c r="G70" s="15">
        <f t="shared" si="31"/>
        <v>648702.74349294591</v>
      </c>
      <c r="H70" s="15">
        <f t="shared" si="31"/>
        <v>648702.74349294591</v>
      </c>
      <c r="I70" s="15">
        <f t="shared" si="31"/>
        <v>665647.18793739041</v>
      </c>
      <c r="J70" s="13">
        <f t="shared" si="33"/>
        <v>665647.18793739041</v>
      </c>
      <c r="K70" s="15">
        <f t="shared" si="32"/>
        <v>641758.29904850153</v>
      </c>
    </row>
    <row r="71" spans="1:11" x14ac:dyDescent="0.3">
      <c r="B71">
        <v>100</v>
      </c>
      <c r="C71" s="15">
        <f t="shared" si="31"/>
        <v>678878.17617309396</v>
      </c>
      <c r="D71" s="15">
        <f t="shared" si="31"/>
        <v>678878.17617309396</v>
      </c>
      <c r="E71" s="15">
        <f t="shared" si="31"/>
        <v>695822.62061753834</v>
      </c>
      <c r="F71" s="15">
        <f t="shared" si="31"/>
        <v>695822.62061753834</v>
      </c>
      <c r="G71" s="15">
        <f t="shared" si="31"/>
        <v>685822.62061753834</v>
      </c>
      <c r="H71" s="15">
        <f t="shared" si="31"/>
        <v>685822.62061753834</v>
      </c>
      <c r="I71" s="15">
        <f t="shared" si="31"/>
        <v>702767.06506198284</v>
      </c>
      <c r="J71" s="13">
        <f t="shared" si="33"/>
        <v>702767.06506198284</v>
      </c>
      <c r="K71" s="15">
        <f t="shared" si="32"/>
        <v>678878.17617309396</v>
      </c>
    </row>
    <row r="73" spans="1:11" x14ac:dyDescent="0.3">
      <c r="B73" t="s">
        <v>40</v>
      </c>
      <c r="C73" s="13">
        <f>(38314135.3459587+160500)/2400</f>
        <v>16031.098060816126</v>
      </c>
      <c r="D73" s="15">
        <f>C73</f>
        <v>16031.098060816126</v>
      </c>
      <c r="E73" s="15">
        <f>D73</f>
        <v>16031.098060816126</v>
      </c>
      <c r="F73" s="15">
        <f>E73</f>
        <v>16031.098060816126</v>
      </c>
      <c r="G73" s="15">
        <f>C73+1500</f>
        <v>17531.098060816126</v>
      </c>
      <c r="H73" s="15">
        <f t="shared" ref="H73:J73" si="34">D73+1500</f>
        <v>17531.098060816126</v>
      </c>
      <c r="I73" s="15">
        <f t="shared" si="34"/>
        <v>17531.098060816126</v>
      </c>
      <c r="J73" s="15">
        <f t="shared" si="34"/>
        <v>17531.098060816126</v>
      </c>
      <c r="K73" s="15">
        <f>C73</f>
        <v>16031.098060816126</v>
      </c>
    </row>
    <row r="75" spans="1:11" ht="15.6" x14ac:dyDescent="0.3">
      <c r="A75" s="34" t="s">
        <v>41</v>
      </c>
    </row>
    <row r="76" spans="1:11" x14ac:dyDescent="0.3">
      <c r="B76" t="s">
        <v>42</v>
      </c>
      <c r="C76">
        <v>0.108</v>
      </c>
    </row>
    <row r="77" spans="1:11" x14ac:dyDescent="0.3">
      <c r="B77" t="s">
        <v>43</v>
      </c>
      <c r="C77">
        <v>1</v>
      </c>
      <c r="D77">
        <v>2</v>
      </c>
      <c r="E77">
        <v>3</v>
      </c>
      <c r="F77">
        <v>4</v>
      </c>
      <c r="G77">
        <v>5</v>
      </c>
      <c r="H77">
        <v>6</v>
      </c>
      <c r="I77">
        <v>7</v>
      </c>
      <c r="J77">
        <v>8</v>
      </c>
      <c r="K77" t="s">
        <v>51</v>
      </c>
    </row>
    <row r="78" spans="1:11" x14ac:dyDescent="0.3">
      <c r="B78" s="12" t="s">
        <v>34</v>
      </c>
      <c r="C78" t="s">
        <v>48</v>
      </c>
    </row>
    <row r="79" spans="1:11" x14ac:dyDescent="0.3">
      <c r="B79">
        <v>50</v>
      </c>
      <c r="C79" s="11">
        <f t="shared" ref="C79:C84" si="35">(C66*$C$76+C$73)/(C39*1000)</f>
        <v>0.49971308270409071</v>
      </c>
      <c r="D79" s="11">
        <f t="shared" ref="D79:J79" si="36">(D66*$C$76+D$73)/(D39*1000)</f>
        <v>0.50562461426389249</v>
      </c>
      <c r="E79" s="11">
        <f t="shared" si="36"/>
        <v>0.55551595978391954</v>
      </c>
      <c r="F79" s="11">
        <f t="shared" si="36"/>
        <v>0.50187993608064463</v>
      </c>
      <c r="G79" s="11">
        <f t="shared" si="36"/>
        <v>0.44035328742564606</v>
      </c>
      <c r="H79" s="11">
        <f t="shared" si="36"/>
        <v>0.44422017215137993</v>
      </c>
      <c r="I79" s="11">
        <f t="shared" si="36"/>
        <v>0.42414904527131864</v>
      </c>
      <c r="J79" s="11">
        <f t="shared" si="36"/>
        <v>0.39933181389906058</v>
      </c>
      <c r="K79" s="11">
        <f t="shared" ref="K79" si="37">(K66*$C$76+K$73)/(K39*1000)</f>
        <v>0.6026539777411335</v>
      </c>
    </row>
    <row r="80" spans="1:11" x14ac:dyDescent="0.3">
      <c r="B80">
        <v>60</v>
      </c>
      <c r="C80" s="11">
        <f t="shared" si="35"/>
        <v>0.47493103602875159</v>
      </c>
      <c r="D80" s="11">
        <f t="shared" ref="D80:J84" si="38">(D67*$C$76+D$73)/(D40*1000)</f>
        <v>0.48054939965657734</v>
      </c>
      <c r="E80" s="11">
        <f t="shared" si="38"/>
        <v>0.52722380282952364</v>
      </c>
      <c r="F80" s="11">
        <f t="shared" si="38"/>
        <v>0.47631943565977652</v>
      </c>
      <c r="G80" s="11">
        <f t="shared" si="38"/>
        <v>0.41779543839396643</v>
      </c>
      <c r="H80" s="11">
        <f t="shared" si="38"/>
        <v>0.42146423534709399</v>
      </c>
      <c r="I80" s="11">
        <f t="shared" si="38"/>
        <v>0.40188888630819181</v>
      </c>
      <c r="J80" s="11">
        <f t="shared" si="38"/>
        <v>0.37837411104547852</v>
      </c>
      <c r="K80" s="11">
        <f t="shared" ref="K80" si="39">(K67*$C$76+K$73)/(K40*1000)</f>
        <v>0.57276682945067459</v>
      </c>
    </row>
    <row r="81" spans="2:11" x14ac:dyDescent="0.3">
      <c r="B81">
        <v>70</v>
      </c>
      <c r="C81" s="11">
        <f t="shared" si="35"/>
        <v>0.46126144397402874</v>
      </c>
      <c r="D81" s="11">
        <f t="shared" si="38"/>
        <v>0.46671809835781403</v>
      </c>
      <c r="E81" s="11">
        <f t="shared" si="38"/>
        <v>0.51140257661300215</v>
      </c>
      <c r="F81" s="11">
        <f t="shared" si="38"/>
        <v>0.46202577611243645</v>
      </c>
      <c r="G81" s="11">
        <f t="shared" si="38"/>
        <v>0.40514391492738205</v>
      </c>
      <c r="H81" s="11">
        <f t="shared" si="38"/>
        <v>0.40870161475861411</v>
      </c>
      <c r="I81" s="11">
        <f t="shared" si="38"/>
        <v>0.3892547819330609</v>
      </c>
      <c r="J81" s="11">
        <f t="shared" si="38"/>
        <v>0.3664792361816584</v>
      </c>
      <c r="K81" s="11">
        <f t="shared" ref="K81" si="40">(K68*$C$76+K$73)/(K41*1000)</f>
        <v>0.55628130143267862</v>
      </c>
    </row>
    <row r="82" spans="2:11" x14ac:dyDescent="0.3">
      <c r="B82">
        <v>80</v>
      </c>
      <c r="C82" s="11">
        <f t="shared" si="35"/>
        <v>0.46510006077999833</v>
      </c>
      <c r="D82" s="11">
        <f t="shared" si="38"/>
        <v>0.47060212543055452</v>
      </c>
      <c r="E82" s="11">
        <f t="shared" si="38"/>
        <v>0.51507082438783147</v>
      </c>
      <c r="F82" s="11">
        <f t="shared" si="38"/>
        <v>0.46533984824004088</v>
      </c>
      <c r="G82" s="11">
        <f t="shared" si="38"/>
        <v>0.40794615334747925</v>
      </c>
      <c r="H82" s="11">
        <f t="shared" si="38"/>
        <v>0.4115284605411495</v>
      </c>
      <c r="I82" s="11">
        <f t="shared" si="38"/>
        <v>0.39152449606856815</v>
      </c>
      <c r="J82" s="11">
        <f t="shared" si="38"/>
        <v>0.36861614789434349</v>
      </c>
      <c r="K82" s="11">
        <f t="shared" ref="K82" si="41">(K69*$C$76+K$73)/(K42*1000)</f>
        <v>0.56091067330067801</v>
      </c>
    </row>
    <row r="83" spans="2:11" x14ac:dyDescent="0.3">
      <c r="B83">
        <v>90</v>
      </c>
      <c r="C83" s="11">
        <f t="shared" si="35"/>
        <v>0.47492400613294983</v>
      </c>
      <c r="D83" s="11">
        <f t="shared" si="38"/>
        <v>0.48054228659815212</v>
      </c>
      <c r="E83" s="11">
        <f t="shared" si="38"/>
        <v>0.52540658337760959</v>
      </c>
      <c r="F83" s="11">
        <f t="shared" si="38"/>
        <v>0.47467767187908183</v>
      </c>
      <c r="G83" s="11">
        <f t="shared" si="38"/>
        <v>0.4160361093682074</v>
      </c>
      <c r="H83" s="11">
        <f t="shared" si="38"/>
        <v>0.41968945708379879</v>
      </c>
      <c r="I83" s="11">
        <f t="shared" si="38"/>
        <v>0.39889724275965976</v>
      </c>
      <c r="J83" s="11">
        <f t="shared" si="38"/>
        <v>0.37555751047053076</v>
      </c>
      <c r="K83" s="11">
        <f t="shared" ref="K83" si="42">(K70*$C$76+K$73)/(K43*1000)</f>
        <v>0.57275835139633757</v>
      </c>
    </row>
    <row r="84" spans="2:11" x14ac:dyDescent="0.3">
      <c r="B84">
        <v>100</v>
      </c>
      <c r="C84" s="11">
        <f t="shared" si="35"/>
        <v>0.49064798022860451</v>
      </c>
      <c r="D84" s="11">
        <f t="shared" si="38"/>
        <v>0.49645227297231059</v>
      </c>
      <c r="E84" s="11">
        <f t="shared" si="38"/>
        <v>0.54229067755160332</v>
      </c>
      <c r="F84" s="11">
        <f t="shared" si="38"/>
        <v>0.48993157765006923</v>
      </c>
      <c r="G84" s="11">
        <f t="shared" si="38"/>
        <v>0.42931502222742585</v>
      </c>
      <c r="H84" s="11">
        <f t="shared" si="38"/>
        <v>0.43308497637420768</v>
      </c>
      <c r="I84" s="11">
        <f t="shared" si="38"/>
        <v>0.4112604398174583</v>
      </c>
      <c r="J84" s="11">
        <f t="shared" si="38"/>
        <v>0.38719732897707515</v>
      </c>
      <c r="K84" s="11">
        <f t="shared" ref="K84" si="43">(K71*$C$76+K$73)/(K44*1000)</f>
        <v>0.59172146415569715</v>
      </c>
    </row>
    <row r="87" spans="2:11" x14ac:dyDescent="0.3">
      <c r="B87" s="2" t="s">
        <v>44</v>
      </c>
      <c r="C87" s="7">
        <f>1-(C81/$K$81)</f>
        <v>0.17081260364842443</v>
      </c>
      <c r="D87" s="7">
        <f t="shared" ref="D87:K87" si="44">1-(D81/$K$81)</f>
        <v>0.1610034398858966</v>
      </c>
      <c r="E87" s="7">
        <f t="shared" si="44"/>
        <v>8.0676313771635422E-2</v>
      </c>
      <c r="F87" s="7">
        <f t="shared" si="44"/>
        <v>0.16943860071782224</v>
      </c>
      <c r="G87" s="7">
        <f t="shared" si="44"/>
        <v>0.271692372395133</v>
      </c>
      <c r="H87" s="7">
        <f t="shared" si="44"/>
        <v>0.26529686741937819</v>
      </c>
      <c r="I87" s="7">
        <f t="shared" si="44"/>
        <v>0.30025549855702161</v>
      </c>
      <c r="J87" s="7">
        <f t="shared" si="44"/>
        <v>0.34119799598187672</v>
      </c>
      <c r="K87" s="7">
        <f t="shared" si="44"/>
        <v>0</v>
      </c>
    </row>
    <row r="88" spans="2:11" x14ac:dyDescent="0.3">
      <c r="B88" s="2" t="s">
        <v>46</v>
      </c>
      <c r="C88">
        <v>70</v>
      </c>
      <c r="D88">
        <v>80</v>
      </c>
      <c r="E88">
        <v>80</v>
      </c>
      <c r="F88">
        <v>80</v>
      </c>
      <c r="G88">
        <v>80</v>
      </c>
      <c r="H88">
        <v>80</v>
      </c>
      <c r="I88">
        <v>80</v>
      </c>
      <c r="J88">
        <v>80</v>
      </c>
      <c r="K88">
        <v>70</v>
      </c>
    </row>
    <row r="89" spans="2:11" x14ac:dyDescent="0.3">
      <c r="B89" s="2" t="s">
        <v>47</v>
      </c>
      <c r="C89" s="14">
        <f>C57</f>
        <v>0.27337573385518593</v>
      </c>
      <c r="D89" s="14">
        <f>D58</f>
        <v>0.24661172945205484</v>
      </c>
      <c r="E89" s="14">
        <f t="shared" ref="E89:J89" si="45">E58</f>
        <v>0.23039026826484013</v>
      </c>
      <c r="F89" s="14">
        <f t="shared" si="45"/>
        <v>0.2550121289954338</v>
      </c>
      <c r="G89" s="14">
        <f t="shared" si="45"/>
        <v>0.29235873287671232</v>
      </c>
      <c r="H89" s="14">
        <f t="shared" si="45"/>
        <v>0.28981378424657539</v>
      </c>
      <c r="I89" s="14">
        <f t="shared" si="45"/>
        <v>0.31129066780821918</v>
      </c>
      <c r="J89" s="14">
        <f t="shared" si="45"/>
        <v>0.33063641552511414</v>
      </c>
      <c r="K89" s="14">
        <f>K57</f>
        <v>0.22667971298108286</v>
      </c>
    </row>
  </sheetData>
  <mergeCells count="1">
    <mergeCell ref="H5:I5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Mirko Previsic</dc:creator>
  <cp:lastModifiedBy>billbony</cp:lastModifiedBy>
  <dcterms:created xsi:type="dcterms:W3CDTF">2016-08-14T16:04:36Z</dcterms:created>
  <dcterms:modified xsi:type="dcterms:W3CDTF">2017-03-07T20:26:57Z</dcterms:modified>
</cp:coreProperties>
</file>